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5480" windowHeight="5850" activeTab="0"/>
  </bookViews>
  <sheets>
    <sheet name="Выбор элеватора" sheetId="1" r:id="rId1"/>
  </sheets>
  <definedNames/>
  <calcPr fullCalcOnLoad="1"/>
</workbook>
</file>

<file path=xl/sharedStrings.xml><?xml version="1.0" encoding="utf-8"?>
<sst xmlns="http://schemas.openxmlformats.org/spreadsheetml/2006/main" count="67" uniqueCount="57">
  <si>
    <t>мм</t>
  </si>
  <si>
    <t>т/ч</t>
  </si>
  <si>
    <t>Исходные данные</t>
  </si>
  <si>
    <t>№ элеват</t>
  </si>
  <si>
    <t>fi1</t>
  </si>
  <si>
    <t>fi2</t>
  </si>
  <si>
    <t>fi3</t>
  </si>
  <si>
    <t>fi4</t>
  </si>
  <si>
    <t>Расчетный диаметр сопла</t>
  </si>
  <si>
    <t>Коэф полезного действия элеватора</t>
  </si>
  <si>
    <t>%</t>
  </si>
  <si>
    <t>Номер элеватора</t>
  </si>
  <si>
    <t>Диаметр горловины</t>
  </si>
  <si>
    <t>Фактический диаметр сопла</t>
  </si>
  <si>
    <t>Площадь сечения горловины</t>
  </si>
  <si>
    <t>Площадь сечения сопла</t>
  </si>
  <si>
    <t>Коэффициент В</t>
  </si>
  <si>
    <t>Коэффициент А</t>
  </si>
  <si>
    <t>Коэффициент С</t>
  </si>
  <si>
    <t>Достижимый коэффициент смешения</t>
  </si>
  <si>
    <t>Площадь сечения кольца</t>
  </si>
  <si>
    <t>Па*с/м6</t>
  </si>
  <si>
    <t>Коэф-ты скоростей</t>
  </si>
  <si>
    <t>кг/м3</t>
  </si>
  <si>
    <t>кг/м4</t>
  </si>
  <si>
    <t>кг/м5</t>
  </si>
  <si>
    <t>Перепад давлений перед элеватором</t>
  </si>
  <si>
    <t>Выбор элеватора</t>
  </si>
  <si>
    <t>Расчётный диаметр камеры смешения</t>
  </si>
  <si>
    <t>°C</t>
  </si>
  <si>
    <t>Диаметр камеры смешения</t>
  </si>
  <si>
    <t>кВт</t>
  </si>
  <si>
    <t>кПа</t>
  </si>
  <si>
    <t>Расчетная потеря давления в системе отопления</t>
  </si>
  <si>
    <t>Тепловая нагрузка системы отопления</t>
  </si>
  <si>
    <t>Температура теплоносителя после элеватора</t>
  </si>
  <si>
    <t>Температура теплоносителя за элеватором</t>
  </si>
  <si>
    <t>Коэффициент cмешения элеватора</t>
  </si>
  <si>
    <t>Плотность теплоносителя после элеватора</t>
  </si>
  <si>
    <t>Плотность теплоносителя за элеватором</t>
  </si>
  <si>
    <t>Расчётный расход теплоносителя до элеватора</t>
  </si>
  <si>
    <t>Расчётный расход теплоносителя после элеватора</t>
  </si>
  <si>
    <t>Гидравлическое сопротивление системы отопления</t>
  </si>
  <si>
    <t>бар</t>
  </si>
  <si>
    <t>Расчетный перепад давлений до элеватора</t>
  </si>
  <si>
    <t>Температура теплоносителя перед элеватором</t>
  </si>
  <si>
    <t>Плотность теплоносителя перед элеватором</t>
  </si>
  <si>
    <t>Технические характеристики</t>
  </si>
  <si>
    <t>Дгорл, мм</t>
  </si>
  <si>
    <t xml:space="preserve">   Вводится</t>
  </si>
  <si>
    <t xml:space="preserve">     Вычисляется</t>
  </si>
  <si>
    <t>Расчет</t>
  </si>
  <si>
    <t>кв. мм</t>
  </si>
  <si>
    <t>Вчсл</t>
  </si>
  <si>
    <t>Ввод</t>
  </si>
  <si>
    <t>Достижимый коэффициент смешения элеватора</t>
  </si>
  <si>
    <t>Расчёт элеватора (по книге: Е.Я. Соколов Н.М. Зингер "Струйные аппараты", Энергоатомиздат, 1989г)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</si>
</sst>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0"/>
    <numFmt numFmtId="167" formatCode="0.0000"/>
    <numFmt numFmtId="168" formatCode="0.00000000"/>
    <numFmt numFmtId="169" formatCode="0.0000000"/>
    <numFmt numFmtId="170" formatCode="0.000000"/>
    <numFmt numFmtId="171" formatCode="0.000E+00"/>
    <numFmt numFmtId="172" formatCode="0.0E+00"/>
  </numFmts>
  <fonts count="10">
    <font>
      <sz val="10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  <font>
      <b/>
      <sz val="8"/>
      <name val="Arial Cyr"/>
      <family val="0"/>
    </font>
    <font>
      <sz val="5.25"/>
      <name val="Arial Cyr"/>
      <family val="0"/>
    </font>
    <font>
      <b/>
      <i/>
      <sz val="10"/>
      <name val="Arial Cyr"/>
      <family val="0"/>
    </font>
    <font>
      <b/>
      <i/>
      <u val="single"/>
      <sz val="12"/>
      <name val="Arial Cyr"/>
      <family val="0"/>
    </font>
    <font>
      <b/>
      <sz val="9.75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2" fontId="1" fillId="0" borderId="4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6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1" fillId="0" borderId="10" xfId="0" applyFont="1" applyBorder="1" applyAlignment="1">
      <alignment/>
    </xf>
    <xf numFmtId="164" fontId="1" fillId="0" borderId="3" xfId="0" applyNumberFormat="1" applyFont="1" applyBorder="1" applyAlignment="1">
      <alignment/>
    </xf>
    <xf numFmtId="1" fontId="1" fillId="0" borderId="5" xfId="0" applyNumberFormat="1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4" fontId="1" fillId="0" borderId="5" xfId="0" applyNumberFormat="1" applyFont="1" applyBorder="1" applyAlignment="1">
      <alignment/>
    </xf>
    <xf numFmtId="164" fontId="1" fillId="0" borderId="5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4" xfId="0" applyFont="1" applyBorder="1" applyAlignment="1">
      <alignment/>
    </xf>
    <xf numFmtId="165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5" fontId="1" fillId="0" borderId="4" xfId="0" applyNumberFormat="1" applyFont="1" applyBorder="1" applyAlignment="1">
      <alignment/>
    </xf>
    <xf numFmtId="165" fontId="1" fillId="0" borderId="5" xfId="0" applyNumberFormat="1" applyFont="1" applyBorder="1" applyAlignment="1">
      <alignment/>
    </xf>
    <xf numFmtId="0" fontId="0" fillId="0" borderId="9" xfId="0" applyFont="1" applyFill="1" applyBorder="1" applyAlignment="1">
      <alignment/>
    </xf>
    <xf numFmtId="165" fontId="1" fillId="0" borderId="2" xfId="0" applyNumberFormat="1" applyFont="1" applyBorder="1" applyAlignment="1">
      <alignment/>
    </xf>
    <xf numFmtId="0" fontId="0" fillId="0" borderId="6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172" fontId="5" fillId="0" borderId="5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2" fontId="1" fillId="0" borderId="5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1" fillId="2" borderId="11" xfId="0" applyFont="1" applyFill="1" applyBorder="1" applyAlignment="1">
      <alignment horizontal="center" vertical="center" textRotation="90"/>
    </xf>
    <xf numFmtId="0" fontId="1" fillId="2" borderId="12" xfId="0" applyFont="1" applyFill="1" applyBorder="1" applyAlignment="1">
      <alignment horizontal="center" vertical="center" textRotation="90"/>
    </xf>
    <xf numFmtId="0" fontId="7" fillId="0" borderId="4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 vertical="center" textRotation="90"/>
    </xf>
    <xf numFmtId="0" fontId="1" fillId="3" borderId="14" xfId="0" applyFont="1" applyFill="1" applyBorder="1" applyAlignment="1">
      <alignment horizontal="center" vertical="center" textRotation="90"/>
    </xf>
    <xf numFmtId="0" fontId="7" fillId="0" borderId="0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0" fillId="3" borderId="16" xfId="0" applyFont="1" applyFill="1" applyBorder="1" applyAlignment="1">
      <alignment horizontal="center" textRotation="90"/>
    </xf>
    <xf numFmtId="0" fontId="0" fillId="3" borderId="11" xfId="0" applyFont="1" applyFill="1" applyBorder="1" applyAlignment="1">
      <alignment horizontal="center" textRotation="90"/>
    </xf>
    <xf numFmtId="0" fontId="0" fillId="3" borderId="12" xfId="0" applyFont="1" applyFill="1" applyBorder="1" applyAlignment="1">
      <alignment horizontal="center" textRotation="90"/>
    </xf>
    <xf numFmtId="0" fontId="0" fillId="2" borderId="16" xfId="0" applyFont="1" applyFill="1" applyBorder="1" applyAlignment="1">
      <alignment horizontal="center" textRotation="90"/>
    </xf>
    <xf numFmtId="0" fontId="0" fillId="2" borderId="11" xfId="0" applyFont="1" applyFill="1" applyBorder="1" applyAlignment="1">
      <alignment horizontal="center" textRotation="90"/>
    </xf>
    <xf numFmtId="0" fontId="0" fillId="2" borderId="12" xfId="0" applyFont="1" applyFill="1" applyBorder="1" applyAlignment="1">
      <alignment horizontal="center" textRotation="90"/>
    </xf>
    <xf numFmtId="0" fontId="7" fillId="0" borderId="15" xfId="0" applyFont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 Cyr"/>
                <a:ea typeface="Arial Cyr"/>
                <a:cs typeface="Arial Cyr"/>
              </a:rPr>
              <a:t>КПД элеваторов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3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'Выбор элеватора'!$G$19:$N$19</c:f>
              <c:numCache/>
            </c:numRef>
          </c:xVal>
          <c:yVal>
            <c:numRef>
              <c:f>'Выбор элеватора'!$G$23:$N$23</c:f>
              <c:numCache/>
            </c:numRef>
          </c:yVal>
          <c:smooth val="1"/>
        </c:ser>
        <c:axId val="59587472"/>
        <c:axId val="66525201"/>
      </c:scatterChart>
      <c:valAx>
        <c:axId val="59587472"/>
        <c:scaling>
          <c:orientation val="minMax"/>
          <c:max val="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yr"/>
                    <a:ea typeface="Arial Cyr"/>
                    <a:cs typeface="Arial Cyr"/>
                  </a:rPr>
                  <a:t>Номер элеватора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97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66525201"/>
        <c:crosses val="autoZero"/>
        <c:crossBetween val="midCat"/>
        <c:dispUnits/>
        <c:majorUnit val="1"/>
      </c:valAx>
      <c:valAx>
        <c:axId val="66525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yr"/>
                    <a:ea typeface="Arial Cyr"/>
                    <a:cs typeface="Arial Cyr"/>
                  </a:rPr>
                  <a:t>КПД,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97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5958747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3</xdr:row>
      <xdr:rowOff>28575</xdr:rowOff>
    </xdr:from>
    <xdr:to>
      <xdr:col>14</xdr:col>
      <xdr:colOff>257175</xdr:colOff>
      <xdr:row>16</xdr:row>
      <xdr:rowOff>66675</xdr:rowOff>
    </xdr:to>
    <xdr:graphicFrame>
      <xdr:nvGraphicFramePr>
        <xdr:cNvPr id="1" name="Chart 2"/>
        <xdr:cNvGraphicFramePr/>
      </xdr:nvGraphicFramePr>
      <xdr:xfrm>
        <a:off x="6667500" y="523875"/>
        <a:ext cx="2219325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4"/>
  <sheetViews>
    <sheetView tabSelected="1" zoomScale="90" zoomScaleNormal="90" workbookViewId="0" topLeftCell="A1">
      <selection activeCell="M33" sqref="M33"/>
    </sheetView>
  </sheetViews>
  <sheetFormatPr defaultColWidth="9.00390625" defaultRowHeight="12.75"/>
  <cols>
    <col min="1" max="1" width="1.625" style="8" customWidth="1"/>
    <col min="2" max="2" width="9.00390625" style="8" bestFit="1" customWidth="1"/>
    <col min="3" max="3" width="9.125" style="8" bestFit="1" customWidth="1"/>
    <col min="4" max="4" width="3.25390625" style="8" customWidth="1"/>
    <col min="5" max="5" width="44.625" style="8" bestFit="1" customWidth="1"/>
    <col min="6" max="6" width="7.375" style="8" bestFit="1" customWidth="1"/>
    <col min="7" max="7" width="7.625" style="8" bestFit="1" customWidth="1"/>
    <col min="8" max="14" width="4.375" style="8" bestFit="1" customWidth="1"/>
    <col min="15" max="16384" width="9.125" style="8" customWidth="1"/>
  </cols>
  <sheetData>
    <row r="2" spans="2:14" s="14" customFormat="1" ht="12.75">
      <c r="B2" s="64" t="s">
        <v>56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2:7" s="15" customFormat="1" ht="13.5" thickBot="1">
      <c r="B3" s="55" t="s">
        <v>47</v>
      </c>
      <c r="C3" s="55"/>
      <c r="E3" s="63" t="s">
        <v>2</v>
      </c>
      <c r="F3" s="63"/>
      <c r="G3" s="63"/>
    </row>
    <row r="4" spans="2:8" ht="13.5" customHeight="1" thickBot="1">
      <c r="B4" s="56"/>
      <c r="C4" s="56"/>
      <c r="D4" s="16"/>
      <c r="E4" s="17" t="s">
        <v>34</v>
      </c>
      <c r="F4" s="18" t="s">
        <v>31</v>
      </c>
      <c r="G4" s="19">
        <v>400</v>
      </c>
      <c r="H4" s="57" t="s">
        <v>49</v>
      </c>
    </row>
    <row r="5" spans="2:8" ht="12.75">
      <c r="B5" s="43" t="s">
        <v>3</v>
      </c>
      <c r="C5" s="44" t="s">
        <v>48</v>
      </c>
      <c r="D5" s="16"/>
      <c r="E5" s="21" t="s">
        <v>33</v>
      </c>
      <c r="F5" s="22" t="s">
        <v>32</v>
      </c>
      <c r="G5" s="23">
        <v>11</v>
      </c>
      <c r="H5" s="58"/>
    </row>
    <row r="6" spans="2:8" ht="12.75">
      <c r="B6" s="20">
        <v>0</v>
      </c>
      <c r="C6" s="12">
        <v>10</v>
      </c>
      <c r="D6" s="16"/>
      <c r="E6" s="21" t="s">
        <v>45</v>
      </c>
      <c r="F6" s="22" t="s">
        <v>29</v>
      </c>
      <c r="G6" s="23">
        <v>150</v>
      </c>
      <c r="H6" s="58"/>
    </row>
    <row r="7" spans="2:8" ht="12.75">
      <c r="B7" s="20">
        <v>1</v>
      </c>
      <c r="C7" s="12">
        <v>15</v>
      </c>
      <c r="D7" s="16"/>
      <c r="E7" s="21" t="s">
        <v>35</v>
      </c>
      <c r="F7" s="22" t="s">
        <v>29</v>
      </c>
      <c r="G7" s="24">
        <v>95</v>
      </c>
      <c r="H7" s="58"/>
    </row>
    <row r="8" spans="2:8" ht="13.5" thickBot="1">
      <c r="B8" s="20">
        <f aca="true" t="shared" si="0" ref="B8:B13">1+B7</f>
        <v>2</v>
      </c>
      <c r="C8" s="12">
        <v>20</v>
      </c>
      <c r="D8" s="16"/>
      <c r="E8" s="25" t="s">
        <v>36</v>
      </c>
      <c r="F8" s="26" t="s">
        <v>29</v>
      </c>
      <c r="G8" s="27">
        <v>70</v>
      </c>
      <c r="H8" s="59"/>
    </row>
    <row r="9" spans="2:7" s="15" customFormat="1" ht="13.5" thickBot="1">
      <c r="B9" s="20">
        <f t="shared" si="0"/>
        <v>3</v>
      </c>
      <c r="C9" s="12">
        <v>25</v>
      </c>
      <c r="D9" s="16"/>
      <c r="E9" s="65" t="s">
        <v>51</v>
      </c>
      <c r="F9" s="65"/>
      <c r="G9" s="65"/>
    </row>
    <row r="10" spans="2:8" ht="12.75">
      <c r="B10" s="20">
        <f t="shared" si="0"/>
        <v>4</v>
      </c>
      <c r="C10" s="12">
        <v>30</v>
      </c>
      <c r="D10" s="16"/>
      <c r="E10" s="17" t="s">
        <v>37</v>
      </c>
      <c r="F10" s="1"/>
      <c r="G10" s="28">
        <f>(G6-G7)/(G7-G8)</f>
        <v>2.2</v>
      </c>
      <c r="H10" s="60" t="s">
        <v>50</v>
      </c>
    </row>
    <row r="11" spans="2:8" ht="12.75">
      <c r="B11" s="20">
        <f t="shared" si="0"/>
        <v>5</v>
      </c>
      <c r="C11" s="12">
        <v>35</v>
      </c>
      <c r="D11" s="16"/>
      <c r="E11" s="21" t="s">
        <v>46</v>
      </c>
      <c r="F11" s="22" t="s">
        <v>23</v>
      </c>
      <c r="G11" s="29">
        <f>1000.3-0.0326*G6-0.00468*G6^2+0.000008*G6^3</f>
        <v>917.11</v>
      </c>
      <c r="H11" s="61"/>
    </row>
    <row r="12" spans="2:8" ht="12.75">
      <c r="B12" s="20">
        <f t="shared" si="0"/>
        <v>6</v>
      </c>
      <c r="C12" s="12">
        <v>47</v>
      </c>
      <c r="D12" s="16"/>
      <c r="E12" s="21" t="s">
        <v>38</v>
      </c>
      <c r="F12" s="22" t="s">
        <v>24</v>
      </c>
      <c r="G12" s="29">
        <f>1000.3-0.0326*G7-0.00468*G7^2+0.000008*G7^3</f>
        <v>961.825</v>
      </c>
      <c r="H12" s="61"/>
    </row>
    <row r="13" spans="2:8" ht="13.5" thickBot="1">
      <c r="B13" s="30">
        <f t="shared" si="0"/>
        <v>7</v>
      </c>
      <c r="C13" s="31">
        <v>59</v>
      </c>
      <c r="D13" s="16"/>
      <c r="E13" s="21" t="s">
        <v>39</v>
      </c>
      <c r="F13" s="22" t="s">
        <v>25</v>
      </c>
      <c r="G13" s="29">
        <f>1000.3-0.0326*G8-0.00468*G8^2+0.000008*G8^3</f>
        <v>977.8299999999999</v>
      </c>
      <c r="H13" s="61"/>
    </row>
    <row r="14" spans="2:8" ht="13.5" thickBot="1">
      <c r="B14" s="16"/>
      <c r="C14" s="16"/>
      <c r="D14" s="16"/>
      <c r="E14" s="21" t="s">
        <v>40</v>
      </c>
      <c r="F14" s="22" t="s">
        <v>1</v>
      </c>
      <c r="G14" s="32">
        <f>G4/1.163/(G6-G8)</f>
        <v>4.299226139294927</v>
      </c>
      <c r="H14" s="61"/>
    </row>
    <row r="15" spans="2:8" ht="12.75">
      <c r="B15" s="66" t="s">
        <v>22</v>
      </c>
      <c r="C15" s="67"/>
      <c r="D15" s="16"/>
      <c r="E15" s="21" t="s">
        <v>41</v>
      </c>
      <c r="F15" s="22" t="s">
        <v>1</v>
      </c>
      <c r="G15" s="32">
        <f>G4/1.163/(G7-G8)</f>
        <v>13.757523645743765</v>
      </c>
      <c r="H15" s="61"/>
    </row>
    <row r="16" spans="2:8" ht="12.75">
      <c r="B16" s="20" t="s">
        <v>4</v>
      </c>
      <c r="C16" s="33">
        <v>0.95</v>
      </c>
      <c r="D16" s="16"/>
      <c r="E16" s="21" t="s">
        <v>42</v>
      </c>
      <c r="F16" s="35" t="s">
        <v>21</v>
      </c>
      <c r="G16" s="45">
        <f>1000*G5*G12/1000/(G15/3600*1000/G12)^2</f>
        <v>670201405.649152</v>
      </c>
      <c r="H16" s="61"/>
    </row>
    <row r="17" spans="2:8" ht="13.5" thickBot="1">
      <c r="B17" s="20" t="s">
        <v>5</v>
      </c>
      <c r="C17" s="34">
        <v>0.975</v>
      </c>
      <c r="D17" s="16"/>
      <c r="E17" s="25" t="s">
        <v>28</v>
      </c>
      <c r="F17" s="26" t="s">
        <v>0</v>
      </c>
      <c r="G17" s="36">
        <f>1000*4/3.1416*((((2-C18^2)-(2*C17-1/C19^2)*G12/G13*1.1*(G10/(1+G10))^2))/(2*G16/G13))^0.25</f>
        <v>36.29433619765781</v>
      </c>
      <c r="H17" s="62"/>
    </row>
    <row r="18" spans="2:14" ht="13.5" thickBot="1">
      <c r="B18" s="20" t="s">
        <v>6</v>
      </c>
      <c r="C18" s="34">
        <v>0.875</v>
      </c>
      <c r="D18" s="16"/>
      <c r="E18" s="63" t="s">
        <v>27</v>
      </c>
      <c r="F18" s="63"/>
      <c r="G18" s="63"/>
      <c r="H18" s="63"/>
      <c r="I18" s="63"/>
      <c r="J18" s="63"/>
      <c r="K18" s="63"/>
      <c r="L18" s="63"/>
      <c r="M18" s="63"/>
      <c r="N18" s="63"/>
    </row>
    <row r="19" spans="2:14" ht="13.5" thickBot="1">
      <c r="B19" s="30" t="s">
        <v>7</v>
      </c>
      <c r="C19" s="37">
        <v>0.875</v>
      </c>
      <c r="D19" s="16"/>
      <c r="E19" s="17" t="s">
        <v>11</v>
      </c>
      <c r="F19" s="5"/>
      <c r="G19" s="5">
        <v>0</v>
      </c>
      <c r="H19" s="5">
        <v>1</v>
      </c>
      <c r="I19" s="5">
        <v>2</v>
      </c>
      <c r="J19" s="5">
        <v>3</v>
      </c>
      <c r="K19" s="5">
        <v>4</v>
      </c>
      <c r="L19" s="5">
        <v>5</v>
      </c>
      <c r="M19" s="5">
        <v>6</v>
      </c>
      <c r="N19" s="9">
        <v>7</v>
      </c>
    </row>
    <row r="20" spans="2:14" ht="12.75">
      <c r="B20" s="6"/>
      <c r="C20" s="38"/>
      <c r="D20" s="16"/>
      <c r="E20" s="21" t="s">
        <v>30</v>
      </c>
      <c r="F20" s="22" t="s">
        <v>0</v>
      </c>
      <c r="G20" s="11">
        <v>10</v>
      </c>
      <c r="H20" s="11">
        <v>15</v>
      </c>
      <c r="I20" s="11">
        <v>20</v>
      </c>
      <c r="J20" s="11">
        <v>25</v>
      </c>
      <c r="K20" s="11">
        <v>30</v>
      </c>
      <c r="L20" s="11">
        <v>35</v>
      </c>
      <c r="M20" s="11">
        <v>47</v>
      </c>
      <c r="N20" s="23">
        <v>59</v>
      </c>
    </row>
    <row r="21" spans="5:14" ht="12.75">
      <c r="E21" s="21" t="s">
        <v>8</v>
      </c>
      <c r="F21" s="22" t="s">
        <v>0</v>
      </c>
      <c r="G21" s="39">
        <f aca="true" t="shared" si="1" ref="G21:N21">G20*((2*$C$17/(1+$G$10)^2)/(2*$G$16*$G$11/$G$12^2*(3.1416/4*(G20/1000)^2)^2+(2-$C$18^2)*$G$11/$G$12-(2*$C$17-1/$C$19^2)*$G$11/$G$13*1.1*($G$10/(1+$G$10))^2))^0.5</f>
        <v>4.675267086169938</v>
      </c>
      <c r="H21" s="39">
        <f t="shared" si="1"/>
        <v>6.882599314196106</v>
      </c>
      <c r="I21" s="39">
        <f t="shared" si="1"/>
        <v>8.753244787801592</v>
      </c>
      <c r="J21" s="39">
        <f t="shared" si="1"/>
        <v>10.02947586250774</v>
      </c>
      <c r="K21" s="39">
        <f t="shared" si="1"/>
        <v>10.59437778020209</v>
      </c>
      <c r="L21" s="39">
        <f t="shared" si="1"/>
        <v>10.557124537279602</v>
      </c>
      <c r="M21" s="39">
        <f t="shared" si="1"/>
        <v>9.300828957893033</v>
      </c>
      <c r="N21" s="40">
        <f t="shared" si="1"/>
        <v>7.836093698364156</v>
      </c>
    </row>
    <row r="22" spans="5:14" ht="12.75">
      <c r="E22" s="21" t="s">
        <v>44</v>
      </c>
      <c r="F22" s="22" t="s">
        <v>43</v>
      </c>
      <c r="G22" s="13">
        <f>0.01*$G$5/($C$16^2*(G21/G20)^2*(2*$C$17+(2*$C$17-1/$C$19^2)*G21^2*$G$10^2/(G20^2-G21^2)*$G$11/$G$13-(2-$C$18^2)*$G$11/$G$12*(G21/G20)^2*(1+$G$10)^2))</f>
        <v>4.1872683018078725</v>
      </c>
      <c r="H22" s="13">
        <f aca="true" t="shared" si="2" ref="H22:N22">0.01*$G$5/($C$16^2*(H21/H20)^2*(2*$C$17+(2*$C$17-1/$C$19^2)*H21^2*$G$10^2/(H20^2-H21^2)*$G$11/$G$13-(2-$C$18^2)*$G$11/$G$12*(H21/H20)^2*(1+$G$10)^2))</f>
        <v>3.014788771494863</v>
      </c>
      <c r="I22" s="13">
        <f t="shared" si="2"/>
        <v>1.9056419532518434</v>
      </c>
      <c r="J22" s="13">
        <f t="shared" si="2"/>
        <v>1.3265356670106108</v>
      </c>
      <c r="K22" s="13">
        <f t="shared" si="2"/>
        <v>1.1319762391483534</v>
      </c>
      <c r="L22" s="13">
        <f t="shared" si="2"/>
        <v>1.1689814623378227</v>
      </c>
      <c r="M22" s="13">
        <f t="shared" si="2"/>
        <v>1.9487334452822858</v>
      </c>
      <c r="N22" s="13">
        <f t="shared" si="2"/>
        <v>3.8603418803882983</v>
      </c>
    </row>
    <row r="23" spans="5:14" ht="13.5" thickBot="1">
      <c r="E23" s="41" t="s">
        <v>9</v>
      </c>
      <c r="F23" s="7" t="s">
        <v>10</v>
      </c>
      <c r="G23" s="42">
        <f>$G$10*$G$5/(100*G22)/(1-$G$5/(100*G22))*100</f>
        <v>5.93534646451146</v>
      </c>
      <c r="H23" s="42">
        <f aca="true" t="shared" si="3" ref="H23:N23">$G$10*$G$5/(100*H22)/(1-$G$5/(100*H22))*100</f>
        <v>8.331070485220238</v>
      </c>
      <c r="I23" s="42">
        <f t="shared" si="3"/>
        <v>13.477074288766014</v>
      </c>
      <c r="J23" s="42">
        <f t="shared" si="3"/>
        <v>19.892552808966617</v>
      </c>
      <c r="K23" s="42">
        <f t="shared" si="3"/>
        <v>23.6796112013002</v>
      </c>
      <c r="L23" s="42">
        <f t="shared" si="3"/>
        <v>22.852146955033316</v>
      </c>
      <c r="M23" s="42">
        <f t="shared" si="3"/>
        <v>13.161233381646992</v>
      </c>
      <c r="N23" s="42">
        <f t="shared" si="3"/>
        <v>6.452745048804568</v>
      </c>
    </row>
    <row r="24" spans="2:8" ht="15.75" thickBot="1">
      <c r="B24" s="46"/>
      <c r="C24" s="46"/>
      <c r="D24" s="46"/>
      <c r="E24" s="52" t="s">
        <v>55</v>
      </c>
      <c r="F24" s="52"/>
      <c r="G24" s="52"/>
      <c r="H24" s="52"/>
    </row>
    <row r="25" spans="2:8" ht="15">
      <c r="B25" s="3"/>
      <c r="C25" s="3"/>
      <c r="D25" s="2"/>
      <c r="E25" s="17" t="s">
        <v>12</v>
      </c>
      <c r="F25" s="18" t="s">
        <v>0</v>
      </c>
      <c r="G25" s="19">
        <v>25</v>
      </c>
      <c r="H25" s="53" t="s">
        <v>54</v>
      </c>
    </row>
    <row r="26" spans="2:8" ht="15">
      <c r="B26" s="3"/>
      <c r="C26" s="3"/>
      <c r="D26" s="2"/>
      <c r="E26" s="21" t="s">
        <v>13</v>
      </c>
      <c r="F26" s="22" t="s">
        <v>0</v>
      </c>
      <c r="G26" s="23">
        <v>10.3</v>
      </c>
      <c r="H26" s="54"/>
    </row>
    <row r="27" spans="2:8" ht="15" hidden="1">
      <c r="B27" s="3"/>
      <c r="C27" s="4"/>
      <c r="D27" s="2"/>
      <c r="E27" s="21" t="s">
        <v>14</v>
      </c>
      <c r="F27" s="22" t="s">
        <v>52</v>
      </c>
      <c r="G27" s="40">
        <f>3.1416/4*G25*G25</f>
        <v>490.87499999999994</v>
      </c>
      <c r="H27" s="50" t="s">
        <v>53</v>
      </c>
    </row>
    <row r="28" spans="2:8" ht="15" hidden="1">
      <c r="B28" s="3"/>
      <c r="C28" s="4"/>
      <c r="D28" s="2"/>
      <c r="E28" s="21" t="s">
        <v>15</v>
      </c>
      <c r="F28" s="22" t="s">
        <v>52</v>
      </c>
      <c r="G28" s="40">
        <f>3.1416/4*G26*G26</f>
        <v>83.323086</v>
      </c>
      <c r="H28" s="50"/>
    </row>
    <row r="29" spans="2:8" ht="15" hidden="1">
      <c r="B29" s="3"/>
      <c r="C29" s="4"/>
      <c r="D29" s="2"/>
      <c r="E29" s="21" t="s">
        <v>20</v>
      </c>
      <c r="F29" s="22" t="s">
        <v>52</v>
      </c>
      <c r="G29" s="40">
        <f>G27-G28</f>
        <v>407.55191399999995</v>
      </c>
      <c r="H29" s="50"/>
    </row>
    <row r="30" spans="2:8" ht="15" hidden="1">
      <c r="B30" s="3"/>
      <c r="C30" s="4"/>
      <c r="D30" s="2"/>
      <c r="E30" s="21" t="s">
        <v>16</v>
      </c>
      <c r="F30" s="10"/>
      <c r="G30" s="40">
        <f>2*((2-C18^2)/G12/G27*1000000+2*G16*G27/1000000/G12/G12)</f>
        <v>6.651370888334761</v>
      </c>
      <c r="H30" s="50"/>
    </row>
    <row r="31" spans="2:8" ht="15" hidden="1">
      <c r="B31" s="3"/>
      <c r="C31" s="4"/>
      <c r="D31" s="2"/>
      <c r="E31" s="21" t="s">
        <v>17</v>
      </c>
      <c r="F31" s="10"/>
      <c r="G31" s="40">
        <f>G30/2-(2*C17-1/C19^2)/G29*1000000/G11</f>
        <v>1.6030280304332756</v>
      </c>
      <c r="H31" s="50"/>
    </row>
    <row r="32" spans="2:8" ht="15" hidden="1">
      <c r="B32" s="3"/>
      <c r="C32" s="4"/>
      <c r="D32" s="2"/>
      <c r="E32" s="21" t="s">
        <v>18</v>
      </c>
      <c r="F32" s="10"/>
      <c r="G32" s="40">
        <f>(G30/2-2*C17/G28*1000000/G11)</f>
        <v>-22.192385239914064</v>
      </c>
      <c r="H32" s="50"/>
    </row>
    <row r="33" spans="2:8" ht="15">
      <c r="B33" s="3"/>
      <c r="C33" s="4"/>
      <c r="D33" s="2"/>
      <c r="E33" s="21" t="s">
        <v>26</v>
      </c>
      <c r="F33" s="22" t="s">
        <v>43</v>
      </c>
      <c r="G33" s="48">
        <f>0.1*(G14/3.6)^2/(2*C16^2*G28^2)/G11*1000000*100</f>
        <v>1.2409270451373915</v>
      </c>
      <c r="H33" s="50"/>
    </row>
    <row r="34" spans="2:8" ht="15.75" thickBot="1">
      <c r="B34" s="3"/>
      <c r="C34" s="4"/>
      <c r="D34" s="2"/>
      <c r="E34" s="25" t="s">
        <v>19</v>
      </c>
      <c r="F34" s="47"/>
      <c r="G34" s="49">
        <f>(-G30+(G30^2-4*G31*G32)^0.5)/(2*G31)</f>
        <v>2.1854337131716384</v>
      </c>
      <c r="H34" s="51"/>
    </row>
  </sheetData>
  <mergeCells count="11">
    <mergeCell ref="B2:N2"/>
    <mergeCell ref="E3:G3"/>
    <mergeCell ref="E9:G9"/>
    <mergeCell ref="B15:C15"/>
    <mergeCell ref="H27:H34"/>
    <mergeCell ref="E24:H24"/>
    <mergeCell ref="H25:H26"/>
    <mergeCell ref="B3:C4"/>
    <mergeCell ref="H4:H8"/>
    <mergeCell ref="H10:H17"/>
    <mergeCell ref="E18:N1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Теплотехника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СИМ</cp:lastModifiedBy>
  <cp:lastPrinted>2008-04-11T04:38:57Z</cp:lastPrinted>
  <dcterms:created xsi:type="dcterms:W3CDTF">2003-05-11T08:06:27Z</dcterms:created>
  <dcterms:modified xsi:type="dcterms:W3CDTF">2011-07-19T02:09:26Z</dcterms:modified>
  <cp:category/>
  <cp:version/>
  <cp:contentType/>
  <cp:contentStatus/>
</cp:coreProperties>
</file>